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johnson\Desktop\Levy\"/>
    </mc:Choice>
  </mc:AlternateContent>
  <bookViews>
    <workbookView xWindow="0" yWindow="0" windowWidth="19200" windowHeight="6470" activeTab="2"/>
  </bookViews>
  <sheets>
    <sheet name="09.21.2017" sheetId="1" r:id="rId1"/>
    <sheet name="09.27.2017" sheetId="2" r:id="rId2"/>
    <sheet name="10.02.2017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" l="1"/>
  <c r="F28" i="3"/>
  <c r="F27" i="3"/>
  <c r="F26" i="3"/>
  <c r="F25" i="3"/>
  <c r="F24" i="3"/>
  <c r="F23" i="3"/>
  <c r="G23" i="3" s="1"/>
  <c r="F20" i="3"/>
  <c r="F4" i="3"/>
  <c r="F5" i="3"/>
  <c r="F6" i="3"/>
  <c r="F7" i="3"/>
  <c r="F8" i="3"/>
  <c r="F9" i="3"/>
  <c r="F10" i="3"/>
  <c r="F11" i="3"/>
  <c r="F12" i="3"/>
  <c r="F13" i="3"/>
  <c r="F14" i="3"/>
  <c r="F15" i="3"/>
  <c r="G15" i="3" s="1"/>
  <c r="F16" i="3"/>
  <c r="F17" i="3"/>
  <c r="F18" i="3"/>
  <c r="F19" i="3"/>
  <c r="F3" i="3"/>
  <c r="E31" i="3"/>
  <c r="E24" i="3"/>
  <c r="E25" i="3"/>
  <c r="E26" i="3"/>
  <c r="E27" i="3"/>
  <c r="E28" i="3"/>
  <c r="E2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3" i="3"/>
  <c r="D28" i="3"/>
  <c r="D27" i="3"/>
  <c r="D26" i="3"/>
  <c r="D24" i="3"/>
  <c r="D20" i="3"/>
  <c r="D19" i="3"/>
  <c r="D14" i="3"/>
  <c r="D13" i="3"/>
  <c r="D12" i="3"/>
  <c r="D11" i="3"/>
  <c r="D10" i="3"/>
  <c r="D9" i="3"/>
  <c r="D8" i="3"/>
  <c r="D7" i="3"/>
  <c r="D6" i="3"/>
  <c r="D5" i="3"/>
  <c r="D4" i="3"/>
  <c r="D3" i="3"/>
  <c r="G31" i="3"/>
  <c r="C27" i="3"/>
  <c r="B27" i="3"/>
  <c r="C26" i="3"/>
  <c r="G26" i="3" s="1"/>
  <c r="B26" i="3"/>
  <c r="B28" i="3" s="1"/>
  <c r="B25" i="3"/>
  <c r="G25" i="3" s="1"/>
  <c r="G24" i="3"/>
  <c r="C24" i="3"/>
  <c r="B24" i="3"/>
  <c r="B23" i="3"/>
  <c r="C19" i="3"/>
  <c r="G19" i="3" s="1"/>
  <c r="B19" i="3"/>
  <c r="G18" i="3"/>
  <c r="C17" i="3"/>
  <c r="G17" i="3" s="1"/>
  <c r="B17" i="3"/>
  <c r="G16" i="3"/>
  <c r="C14" i="3"/>
  <c r="G14" i="3" s="1"/>
  <c r="B14" i="3"/>
  <c r="C13" i="3"/>
  <c r="G13" i="3" s="1"/>
  <c r="B13" i="3"/>
  <c r="C12" i="3"/>
  <c r="G12" i="3" s="1"/>
  <c r="B12" i="3"/>
  <c r="C11" i="3"/>
  <c r="B11" i="3"/>
  <c r="C10" i="3"/>
  <c r="G10" i="3" s="1"/>
  <c r="B10" i="3"/>
  <c r="C9" i="3"/>
  <c r="G9" i="3" s="1"/>
  <c r="B9" i="3"/>
  <c r="C8" i="3"/>
  <c r="G8" i="3" s="1"/>
  <c r="B8" i="3"/>
  <c r="C7" i="3"/>
  <c r="G7" i="3" s="1"/>
  <c r="B7" i="3"/>
  <c r="C6" i="3"/>
  <c r="G6" i="3" s="1"/>
  <c r="B6" i="3"/>
  <c r="C5" i="3"/>
  <c r="G5" i="3" s="1"/>
  <c r="B5" i="3"/>
  <c r="C4" i="3"/>
  <c r="G4" i="3" s="1"/>
  <c r="B4" i="3"/>
  <c r="C3" i="3"/>
  <c r="B3" i="3"/>
  <c r="B20" i="3" s="1"/>
  <c r="G27" i="3" l="1"/>
  <c r="G11" i="3"/>
  <c r="G3" i="3"/>
  <c r="C20" i="3"/>
  <c r="G20" i="3" s="1"/>
  <c r="C28" i="3"/>
  <c r="G28" i="3" s="1"/>
  <c r="C26" i="2"/>
  <c r="C14" i="2"/>
  <c r="C13" i="2"/>
  <c r="D13" i="2" s="1"/>
  <c r="E13" i="2" s="1"/>
  <c r="C3" i="2"/>
  <c r="C6" i="2"/>
  <c r="C5" i="2"/>
  <c r="D5" i="2" s="1"/>
  <c r="E5" i="2" s="1"/>
  <c r="C4" i="2"/>
  <c r="D31" i="2"/>
  <c r="E31" i="2" s="1"/>
  <c r="D27" i="2"/>
  <c r="E27" i="2" s="1"/>
  <c r="C27" i="2"/>
  <c r="B27" i="2"/>
  <c r="D26" i="2"/>
  <c r="E26" i="2" s="1"/>
  <c r="B26" i="2"/>
  <c r="D25" i="2"/>
  <c r="E25" i="2" s="1"/>
  <c r="B25" i="2"/>
  <c r="C24" i="2"/>
  <c r="C28" i="2" s="1"/>
  <c r="B24" i="2"/>
  <c r="B23" i="2"/>
  <c r="D23" i="2" s="1"/>
  <c r="E23" i="2" s="1"/>
  <c r="B20" i="2"/>
  <c r="C19" i="2"/>
  <c r="D19" i="2" s="1"/>
  <c r="E19" i="2" s="1"/>
  <c r="B19" i="2"/>
  <c r="D18" i="2"/>
  <c r="E18" i="2" s="1"/>
  <c r="D17" i="2"/>
  <c r="E17" i="2" s="1"/>
  <c r="C17" i="2"/>
  <c r="B17" i="2"/>
  <c r="D16" i="2"/>
  <c r="E16" i="2" s="1"/>
  <c r="D15" i="2"/>
  <c r="E15" i="2" s="1"/>
  <c r="D14" i="2"/>
  <c r="E14" i="2" s="1"/>
  <c r="B14" i="2"/>
  <c r="B13" i="2"/>
  <c r="D12" i="2"/>
  <c r="E12" i="2" s="1"/>
  <c r="C12" i="2"/>
  <c r="B12" i="2"/>
  <c r="D11" i="2"/>
  <c r="E11" i="2" s="1"/>
  <c r="C11" i="2"/>
  <c r="B11" i="2"/>
  <c r="D10" i="2"/>
  <c r="E10" i="2" s="1"/>
  <c r="C10" i="2"/>
  <c r="B10" i="2"/>
  <c r="D9" i="2"/>
  <c r="E9" i="2" s="1"/>
  <c r="C9" i="2"/>
  <c r="B9" i="2"/>
  <c r="D8" i="2"/>
  <c r="E8" i="2" s="1"/>
  <c r="C8" i="2"/>
  <c r="B8" i="2"/>
  <c r="D7" i="2"/>
  <c r="E7" i="2" s="1"/>
  <c r="C7" i="2"/>
  <c r="B7" i="2"/>
  <c r="D6" i="2"/>
  <c r="E6" i="2" s="1"/>
  <c r="B6" i="2"/>
  <c r="B5" i="2"/>
  <c r="D4" i="2"/>
  <c r="E4" i="2" s="1"/>
  <c r="B4" i="2"/>
  <c r="B3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3" i="1"/>
  <c r="D24" i="1"/>
  <c r="D25" i="1"/>
  <c r="D26" i="1"/>
  <c r="D27" i="1"/>
  <c r="D28" i="1"/>
  <c r="D31" i="1"/>
  <c r="C20" i="2" l="1"/>
  <c r="D20" i="2" s="1"/>
  <c r="E20" i="2" s="1"/>
  <c r="D3" i="2"/>
  <c r="E3" i="2" s="1"/>
  <c r="D24" i="2"/>
  <c r="E24" i="2" s="1"/>
  <c r="B28" i="2"/>
  <c r="D28" i="2" s="1"/>
  <c r="E28" i="2" s="1"/>
  <c r="E31" i="1"/>
  <c r="E24" i="1"/>
  <c r="E25" i="1"/>
  <c r="E26" i="1"/>
  <c r="E27" i="1"/>
  <c r="E28" i="1"/>
  <c r="E23" i="1"/>
  <c r="C28" i="1"/>
  <c r="B28" i="1"/>
  <c r="C27" i="1"/>
  <c r="C26" i="1"/>
  <c r="C24" i="1"/>
  <c r="B27" i="1"/>
  <c r="B26" i="1"/>
  <c r="B25" i="1"/>
  <c r="B24" i="1"/>
  <c r="B23" i="1"/>
  <c r="E16" i="1"/>
  <c r="E17" i="1"/>
  <c r="E18" i="1"/>
  <c r="E19" i="1"/>
  <c r="E20" i="1"/>
  <c r="C19" i="1"/>
  <c r="B19" i="1"/>
  <c r="C14" i="1"/>
  <c r="B14" i="1"/>
  <c r="C17" i="1"/>
  <c r="B17" i="1"/>
  <c r="C13" i="1"/>
  <c r="B13" i="1"/>
  <c r="C12" i="1"/>
  <c r="B12" i="1"/>
  <c r="C11" i="1"/>
  <c r="B11" i="1"/>
  <c r="E11" i="1" s="1"/>
  <c r="C10" i="1"/>
  <c r="B10" i="1"/>
  <c r="C9" i="1"/>
  <c r="B9" i="1"/>
  <c r="C8" i="1"/>
  <c r="B8" i="1"/>
  <c r="C7" i="1"/>
  <c r="B7" i="1"/>
  <c r="E15" i="1"/>
  <c r="E14" i="1"/>
  <c r="C6" i="1"/>
  <c r="C5" i="1"/>
  <c r="C4" i="1"/>
  <c r="E4" i="1" s="1"/>
  <c r="C3" i="1"/>
  <c r="B6" i="1"/>
  <c r="B5" i="1"/>
  <c r="B4" i="1"/>
  <c r="B3" i="1"/>
  <c r="E8" i="1" l="1"/>
  <c r="E10" i="1"/>
  <c r="B20" i="1"/>
  <c r="E3" i="1"/>
  <c r="E5" i="1"/>
  <c r="C20" i="1"/>
  <c r="E6" i="1"/>
  <c r="E13" i="1"/>
  <c r="E12" i="1"/>
  <c r="E9" i="1"/>
  <c r="E7" i="1"/>
</calcChain>
</file>

<file path=xl/sharedStrings.xml><?xml version="1.0" encoding="utf-8"?>
<sst xmlns="http://schemas.openxmlformats.org/spreadsheetml/2006/main" count="93" uniqueCount="34">
  <si>
    <t>Local Optional</t>
  </si>
  <si>
    <t>Equity</t>
  </si>
  <si>
    <t>Board approved</t>
  </si>
  <si>
    <t>Transition</t>
  </si>
  <si>
    <t>Operating Capital</t>
  </si>
  <si>
    <t>Acheivement &amp; Integration</t>
  </si>
  <si>
    <t>Reempl Ins</t>
  </si>
  <si>
    <t>Safe Schools</t>
  </si>
  <si>
    <t>OPEB</t>
  </si>
  <si>
    <t>LTFM</t>
  </si>
  <si>
    <t>Bldg/Land Lease</t>
  </si>
  <si>
    <t>Career &amp; Tech</t>
  </si>
  <si>
    <t>Capital Project Ref</t>
  </si>
  <si>
    <t>H&amp;S Adj</t>
  </si>
  <si>
    <t>Def Maint Adj</t>
  </si>
  <si>
    <t>Abate/Other Adj</t>
  </si>
  <si>
    <t>Student Acheiv (GE)</t>
  </si>
  <si>
    <t>Community Education</t>
  </si>
  <si>
    <t>Basic C.E</t>
  </si>
  <si>
    <t>Early Child Family</t>
  </si>
  <si>
    <t>Home Visiting</t>
  </si>
  <si>
    <t>School Age Care</t>
  </si>
  <si>
    <t>Abate/Other</t>
  </si>
  <si>
    <t>Debt Service</t>
  </si>
  <si>
    <t xml:space="preserve">General </t>
  </si>
  <si>
    <t>16PAY17</t>
  </si>
  <si>
    <t>17PAY18</t>
  </si>
  <si>
    <t>09.21.2017</t>
  </si>
  <si>
    <t>CHANGE</t>
  </si>
  <si>
    <t>% CHANGE</t>
  </si>
  <si>
    <t>09.27.2017</t>
  </si>
  <si>
    <t>10.02.2017</t>
  </si>
  <si>
    <t>CHG FR PRELIM</t>
  </si>
  <si>
    <t>CHG FR 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</si>
</sst>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43" fontId="0" fillId="0" borderId="0" xfId="0" applyNumberFormat="1"/>
    <xf numFmtId="164" fontId="0" fillId="0" borderId="0" xfId="2" applyNumberFormat="1" applyFont="1"/>
    <xf numFmtId="43" fontId="0" fillId="2" borderId="0" xfId="1" applyFont="1" applyFill="1"/>
    <xf numFmtId="43" fontId="0" fillId="2" borderId="0" xfId="0" applyNumberFormat="1" applyFill="1"/>
    <xf numFmtId="164" fontId="0" fillId="2" borderId="0" xfId="2" applyNumberFormat="1" applyFont="1" applyFill="1"/>
    <xf numFmtId="0" fontId="2" fillId="0" borderId="0" xfId="0" applyFon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0" fillId="3" borderId="1" xfId="1" applyFont="1" applyFill="1" applyBorder="1"/>
    <xf numFmtId="43" fontId="0" fillId="3" borderId="2" xfId="1" applyFont="1" applyFill="1" applyBorder="1"/>
    <xf numFmtId="43" fontId="0" fillId="3" borderId="3" xfId="1" applyFont="1" applyFill="1" applyBorder="1"/>
    <xf numFmtId="43" fontId="0" fillId="0" borderId="0" xfId="1" applyFont="1" applyFill="1"/>
    <xf numFmtId="43" fontId="0" fillId="0" borderId="0" xfId="0" applyNumberFormat="1" applyFill="1"/>
    <xf numFmtId="164" fontId="0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10" sqref="G10"/>
    </sheetView>
  </sheetViews>
  <sheetFormatPr defaultRowHeight="14.5" x14ac:dyDescent="0.35"/>
  <cols>
    <col min="1" max="1" width="23.36328125" bestFit="1" customWidth="1"/>
    <col min="2" max="3" width="13.6328125" style="1" bestFit="1" customWidth="1"/>
    <col min="4" max="4" width="12.54296875" bestFit="1" customWidth="1"/>
    <col min="5" max="5" width="11" customWidth="1"/>
  </cols>
  <sheetData>
    <row r="1" spans="1:6" x14ac:dyDescent="0.35">
      <c r="B1" s="8"/>
      <c r="C1" s="8" t="s">
        <v>27</v>
      </c>
    </row>
    <row r="2" spans="1:6" x14ac:dyDescent="0.35">
      <c r="A2" s="7" t="s">
        <v>24</v>
      </c>
      <c r="B2" s="8" t="s">
        <v>25</v>
      </c>
      <c r="C2" s="8" t="s">
        <v>26</v>
      </c>
      <c r="D2" s="9" t="s">
        <v>28</v>
      </c>
      <c r="E2" s="9" t="s">
        <v>29</v>
      </c>
    </row>
    <row r="3" spans="1:6" x14ac:dyDescent="0.35">
      <c r="A3" t="s">
        <v>0</v>
      </c>
      <c r="B3" s="1">
        <f>3340000.59-35006.07-56172.82</f>
        <v>3248821.7</v>
      </c>
      <c r="C3" s="1">
        <f>3870636.33+354326.16-85018.45</f>
        <v>4139944.04</v>
      </c>
      <c r="D3" s="2">
        <f>C3-B3</f>
        <v>891122.33999999985</v>
      </c>
      <c r="E3" s="3">
        <f>D3/B3</f>
        <v>0.27429093446402425</v>
      </c>
      <c r="F3" s="2"/>
    </row>
    <row r="4" spans="1:6" x14ac:dyDescent="0.35">
      <c r="A4" t="s">
        <v>1</v>
      </c>
      <c r="B4" s="1">
        <f>1319457.78-23353.23-30032.05</f>
        <v>1266072.5</v>
      </c>
      <c r="C4" s="1">
        <f>1518813.95+129846.65-40538.79</f>
        <v>1608121.8099999998</v>
      </c>
      <c r="D4" s="2">
        <f t="shared" ref="D4:D6" si="0">C4-B4</f>
        <v>342049.30999999982</v>
      </c>
      <c r="E4" s="3">
        <f t="shared" ref="E4:E6" si="1">D4/B4</f>
        <v>0.27016565796982384</v>
      </c>
      <c r="F4" s="2"/>
    </row>
    <row r="5" spans="1:6" x14ac:dyDescent="0.35">
      <c r="A5" t="s">
        <v>3</v>
      </c>
      <c r="B5" s="1">
        <f>148488.23-1708.81-2655.07</f>
        <v>144124.35</v>
      </c>
      <c r="C5" s="1">
        <f>172079+15752.48-3917.75</f>
        <v>183913.73</v>
      </c>
      <c r="D5" s="2">
        <f t="shared" si="0"/>
        <v>39789.380000000005</v>
      </c>
      <c r="E5" s="3">
        <f t="shared" si="1"/>
        <v>0.27607673512491127</v>
      </c>
      <c r="F5" s="2"/>
    </row>
    <row r="6" spans="1:6" x14ac:dyDescent="0.35">
      <c r="A6" t="s">
        <v>2</v>
      </c>
      <c r="B6" s="1">
        <f>1369586.43-14354.44-23033.98</f>
        <v>1332198.01</v>
      </c>
      <c r="C6" s="1">
        <f>1587176.67+145293.48-34862.29</f>
        <v>1697607.8599999999</v>
      </c>
      <c r="D6" s="2">
        <f t="shared" si="0"/>
        <v>365409.84999999986</v>
      </c>
      <c r="E6" s="3">
        <f t="shared" si="1"/>
        <v>0.27429094418178862</v>
      </c>
      <c r="F6" s="2"/>
    </row>
    <row r="7" spans="1:6" x14ac:dyDescent="0.35">
      <c r="A7" t="s">
        <v>4</v>
      </c>
      <c r="B7" s="1">
        <f>568523.48-43965.51-3767.47</f>
        <v>520790.5</v>
      </c>
      <c r="C7" s="1">
        <f>520376.76-11186+3398.83</f>
        <v>512589.59</v>
      </c>
      <c r="D7" s="2">
        <f t="shared" ref="D7:D15" si="2">C7-B7</f>
        <v>-8200.9099999999744</v>
      </c>
      <c r="E7" s="3">
        <f t="shared" ref="E7:E15" si="3">D7/B7</f>
        <v>-1.5747042236753502E-2</v>
      </c>
    </row>
    <row r="8" spans="1:6" x14ac:dyDescent="0.35">
      <c r="A8" t="s">
        <v>5</v>
      </c>
      <c r="B8" s="1">
        <f>394027.71+14973.98</f>
        <v>409001.69</v>
      </c>
      <c r="C8" s="1">
        <f>406131.53-5773.24+25429.05</f>
        <v>425787.34</v>
      </c>
      <c r="D8" s="2">
        <f t="shared" si="2"/>
        <v>16785.650000000023</v>
      </c>
      <c r="E8" s="3">
        <f t="shared" si="3"/>
        <v>4.1040539465741627E-2</v>
      </c>
    </row>
    <row r="9" spans="1:6" x14ac:dyDescent="0.35">
      <c r="A9" t="s">
        <v>6</v>
      </c>
      <c r="B9" s="1">
        <f>35000-12720.96</f>
        <v>22279.040000000001</v>
      </c>
      <c r="C9" s="1">
        <f>40000-1409.44</f>
        <v>38590.559999999998</v>
      </c>
      <c r="D9" s="2">
        <f t="shared" si="2"/>
        <v>16311.519999999997</v>
      </c>
      <c r="E9" s="3">
        <f t="shared" si="3"/>
        <v>0.73214644796185102</v>
      </c>
    </row>
    <row r="10" spans="1:6" x14ac:dyDescent="0.35">
      <c r="A10" t="s">
        <v>7</v>
      </c>
      <c r="B10" s="1">
        <f>329832+17443.08</f>
        <v>347275.08</v>
      </c>
      <c r="C10" s="1">
        <f>334260-4277.16</f>
        <v>329982.84000000003</v>
      </c>
      <c r="D10" s="2">
        <f t="shared" si="2"/>
        <v>-17292.239999999991</v>
      </c>
      <c r="E10" s="3">
        <f t="shared" si="3"/>
        <v>-4.9794071028649654E-2</v>
      </c>
    </row>
    <row r="11" spans="1:6" x14ac:dyDescent="0.35">
      <c r="A11" t="s">
        <v>11</v>
      </c>
      <c r="B11" s="1">
        <f>198920.52-9645.29</f>
        <v>189275.22999999998</v>
      </c>
      <c r="C11" s="1">
        <f>234803.02+4633.85</f>
        <v>239436.87</v>
      </c>
      <c r="D11" s="2">
        <f t="shared" si="2"/>
        <v>50161.640000000014</v>
      </c>
      <c r="E11" s="3">
        <f t="shared" si="3"/>
        <v>0.26501956964997492</v>
      </c>
    </row>
    <row r="12" spans="1:6" x14ac:dyDescent="0.35">
      <c r="A12" t="s">
        <v>8</v>
      </c>
      <c r="B12" s="1">
        <f>250000-57796.03</f>
        <v>192203.97</v>
      </c>
      <c r="C12" s="1">
        <f>150000-40343.35</f>
        <v>109656.65</v>
      </c>
      <c r="D12" s="2">
        <f t="shared" si="2"/>
        <v>-82547.320000000007</v>
      </c>
      <c r="E12" s="3">
        <f t="shared" si="3"/>
        <v>-0.42947770537726149</v>
      </c>
    </row>
    <row r="13" spans="1:6" x14ac:dyDescent="0.35">
      <c r="A13" t="s">
        <v>9</v>
      </c>
      <c r="B13" s="1">
        <f>1323400.66+38820-4685.95</f>
        <v>1357534.71</v>
      </c>
      <c r="C13" s="1">
        <f>1919588.8+48535.87+73649.52-38820+25577.45</f>
        <v>2028531.6400000001</v>
      </c>
      <c r="D13" s="2">
        <f t="shared" si="2"/>
        <v>670996.93000000017</v>
      </c>
      <c r="E13" s="3">
        <f t="shared" si="3"/>
        <v>0.49427607637376741</v>
      </c>
    </row>
    <row r="14" spans="1:6" x14ac:dyDescent="0.35">
      <c r="A14" t="s">
        <v>10</v>
      </c>
      <c r="B14" s="1">
        <f>1586818.82+972.19</f>
        <v>1587791.01</v>
      </c>
      <c r="C14" s="1">
        <f>1622044.82-962517.75</f>
        <v>659527.07000000007</v>
      </c>
      <c r="D14" s="2">
        <f t="shared" si="2"/>
        <v>-928263.94</v>
      </c>
      <c r="E14" s="3">
        <f t="shared" si="3"/>
        <v>-0.58462602077587023</v>
      </c>
    </row>
    <row r="15" spans="1:6" x14ac:dyDescent="0.35">
      <c r="A15" t="s">
        <v>12</v>
      </c>
      <c r="B15" s="1">
        <v>3011717.06</v>
      </c>
      <c r="C15" s="1">
        <v>3206596.1</v>
      </c>
      <c r="D15" s="2">
        <f t="shared" si="2"/>
        <v>194879.04000000004</v>
      </c>
      <c r="E15" s="3">
        <f t="shared" si="3"/>
        <v>6.4706954908971437E-2</v>
      </c>
    </row>
    <row r="16" spans="1:6" x14ac:dyDescent="0.35">
      <c r="A16" t="s">
        <v>16</v>
      </c>
      <c r="B16" s="1">
        <v>74895.22</v>
      </c>
      <c r="C16" s="1">
        <v>0</v>
      </c>
      <c r="D16" s="2">
        <f t="shared" ref="D16:D20" si="4">C16-B16</f>
        <v>-74895.22</v>
      </c>
      <c r="E16" s="3">
        <f t="shared" ref="E16:E20" si="5">D16/B16</f>
        <v>-1</v>
      </c>
    </row>
    <row r="17" spans="1:5" x14ac:dyDescent="0.35">
      <c r="A17" t="s">
        <v>13</v>
      </c>
      <c r="B17" s="1">
        <f>-39310.3-1792.46</f>
        <v>-41102.76</v>
      </c>
      <c r="C17" s="1">
        <f>39077</f>
        <v>39077</v>
      </c>
      <c r="D17" s="2">
        <f t="shared" si="4"/>
        <v>80179.760000000009</v>
      </c>
      <c r="E17" s="3">
        <f t="shared" si="5"/>
        <v>-1.9507147451898608</v>
      </c>
    </row>
    <row r="18" spans="1:5" x14ac:dyDescent="0.35">
      <c r="A18" t="s">
        <v>14</v>
      </c>
      <c r="B18" s="1">
        <v>-30451.71</v>
      </c>
      <c r="C18" s="1">
        <v>-33358.71</v>
      </c>
      <c r="D18" s="2">
        <f t="shared" si="4"/>
        <v>-2907</v>
      </c>
      <c r="E18" s="3">
        <f t="shared" si="5"/>
        <v>9.5462619340588764E-2</v>
      </c>
    </row>
    <row r="19" spans="1:5" x14ac:dyDescent="0.35">
      <c r="A19" t="s">
        <v>15</v>
      </c>
      <c r="B19" s="1">
        <f>-52.12+78896.89+11098.31</f>
        <v>89943.08</v>
      </c>
      <c r="C19" s="1">
        <f>-5967.94+36828.52+22984.74</f>
        <v>53845.32</v>
      </c>
      <c r="D19" s="2">
        <f t="shared" si="4"/>
        <v>-36097.760000000002</v>
      </c>
      <c r="E19" s="3">
        <f t="shared" si="5"/>
        <v>-0.40134004750560021</v>
      </c>
    </row>
    <row r="20" spans="1:5" x14ac:dyDescent="0.35">
      <c r="B20" s="1">
        <f>SUM(B3:B19)</f>
        <v>13722368.68</v>
      </c>
      <c r="C20" s="1">
        <f>SUM(C3:C19)</f>
        <v>15239849.709999999</v>
      </c>
      <c r="D20" s="2">
        <f t="shared" si="4"/>
        <v>1517481.0299999993</v>
      </c>
      <c r="E20" s="3">
        <f t="shared" si="5"/>
        <v>0.11058448183305912</v>
      </c>
    </row>
    <row r="22" spans="1:5" x14ac:dyDescent="0.35">
      <c r="A22" s="7" t="s">
        <v>17</v>
      </c>
    </row>
    <row r="23" spans="1:5" x14ac:dyDescent="0.35">
      <c r="A23" t="s">
        <v>18</v>
      </c>
      <c r="B23" s="1">
        <f>336903.5</f>
        <v>336903.5</v>
      </c>
      <c r="C23" s="1">
        <v>340047.65</v>
      </c>
      <c r="D23" s="2">
        <f t="shared" ref="D23" si="6">C23-B23</f>
        <v>3144.1500000000233</v>
      </c>
      <c r="E23" s="3">
        <f t="shared" ref="E23" si="7">D23/B23</f>
        <v>9.3324943195900994E-3</v>
      </c>
    </row>
    <row r="24" spans="1:5" x14ac:dyDescent="0.35">
      <c r="A24" t="s">
        <v>19</v>
      </c>
      <c r="B24" s="1">
        <f>175258.03</f>
        <v>175258.03</v>
      </c>
      <c r="C24" s="1">
        <f>183863.15-163.7</f>
        <v>183699.44999999998</v>
      </c>
      <c r="D24" s="2">
        <f t="shared" ref="D24:D28" si="8">C24-B24</f>
        <v>8441.4199999999837</v>
      </c>
      <c r="E24" s="3">
        <f t="shared" ref="E24:E28" si="9">D24/B24</f>
        <v>4.8165667501797113E-2</v>
      </c>
    </row>
    <row r="25" spans="1:5" x14ac:dyDescent="0.35">
      <c r="A25" t="s">
        <v>20</v>
      </c>
      <c r="B25" s="1">
        <f>4167.49+702.4</f>
        <v>4869.8899999999994</v>
      </c>
      <c r="C25" s="1">
        <v>3961.31</v>
      </c>
      <c r="D25" s="2">
        <f t="shared" si="8"/>
        <v>-908.57999999999947</v>
      </c>
      <c r="E25" s="3">
        <f t="shared" si="9"/>
        <v>-0.18657094924115319</v>
      </c>
    </row>
    <row r="26" spans="1:5" x14ac:dyDescent="0.35">
      <c r="A26" t="s">
        <v>21</v>
      </c>
      <c r="B26" s="4">
        <f>60000+3376.29</f>
        <v>63376.29</v>
      </c>
      <c r="C26" s="4">
        <f>-607.54</f>
        <v>-607.54</v>
      </c>
      <c r="D26" s="5">
        <f t="shared" si="8"/>
        <v>-63983.83</v>
      </c>
      <c r="E26" s="6">
        <f t="shared" si="9"/>
        <v>-1.009586234852182</v>
      </c>
    </row>
    <row r="27" spans="1:5" x14ac:dyDescent="0.35">
      <c r="A27" t="s">
        <v>22</v>
      </c>
      <c r="B27" s="1">
        <f>4968.03+667.44</f>
        <v>5635.4699999999993</v>
      </c>
      <c r="C27" s="1">
        <f>2353.82+1369.49</f>
        <v>3723.3100000000004</v>
      </c>
      <c r="D27" s="2">
        <f t="shared" si="8"/>
        <v>-1912.1599999999989</v>
      </c>
      <c r="E27" s="3">
        <f t="shared" si="9"/>
        <v>-0.33930799028297537</v>
      </c>
    </row>
    <row r="28" spans="1:5" x14ac:dyDescent="0.35">
      <c r="B28" s="1">
        <f>SUM(B23:B27)</f>
        <v>586043.18000000005</v>
      </c>
      <c r="C28" s="1">
        <f>SUM(C23:C27)</f>
        <v>530824.18000000005</v>
      </c>
      <c r="D28" s="2">
        <f t="shared" si="8"/>
        <v>-55219</v>
      </c>
      <c r="E28" s="3">
        <f t="shared" si="9"/>
        <v>-9.4223432478132405E-2</v>
      </c>
    </row>
    <row r="31" spans="1:5" x14ac:dyDescent="0.35">
      <c r="A31" s="7" t="s">
        <v>23</v>
      </c>
      <c r="B31" s="1">
        <v>19004666.870000001</v>
      </c>
      <c r="C31" s="1">
        <v>21227802.609999999</v>
      </c>
      <c r="D31" s="2">
        <f t="shared" ref="D31" si="10">C31-B31</f>
        <v>2223135.7399999984</v>
      </c>
      <c r="E31" s="3">
        <f t="shared" ref="E31" si="11">D31/B31</f>
        <v>0.11697841141900522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20" sqref="C20"/>
    </sheetView>
  </sheetViews>
  <sheetFormatPr defaultRowHeight="14.5" x14ac:dyDescent="0.35"/>
  <cols>
    <col min="1" max="1" width="23.36328125" bestFit="1" customWidth="1"/>
    <col min="2" max="3" width="13.6328125" style="1" bestFit="1" customWidth="1"/>
    <col min="4" max="4" width="12.54296875" bestFit="1" customWidth="1"/>
    <col min="5" max="5" width="11" customWidth="1"/>
  </cols>
  <sheetData>
    <row r="1" spans="1:6" x14ac:dyDescent="0.35">
      <c r="B1" s="8"/>
      <c r="C1" s="8" t="s">
        <v>30</v>
      </c>
    </row>
    <row r="2" spans="1:6" ht="15" thickBot="1" x14ac:dyDescent="0.4">
      <c r="A2" s="7" t="s">
        <v>24</v>
      </c>
      <c r="B2" s="8" t="s">
        <v>25</v>
      </c>
      <c r="C2" s="8" t="s">
        <v>26</v>
      </c>
      <c r="D2" s="9" t="s">
        <v>28</v>
      </c>
      <c r="E2" s="9" t="s">
        <v>29</v>
      </c>
    </row>
    <row r="3" spans="1:6" x14ac:dyDescent="0.35">
      <c r="A3" t="s">
        <v>0</v>
      </c>
      <c r="B3" s="1">
        <f>3340000.59-35006.07-56172.82</f>
        <v>3248821.7</v>
      </c>
      <c r="C3" s="10">
        <f>3534835.45+354326.16-85018.45</f>
        <v>3804143.16</v>
      </c>
      <c r="D3" s="2">
        <f>C3-B3</f>
        <v>555321.46</v>
      </c>
      <c r="E3" s="3">
        <f>D3/B3</f>
        <v>0.17093011290831994</v>
      </c>
      <c r="F3" s="2"/>
    </row>
    <row r="4" spans="1:6" x14ac:dyDescent="0.35">
      <c r="A4" t="s">
        <v>1</v>
      </c>
      <c r="B4" s="1">
        <f>1319457.78-23353.23-30032.05</f>
        <v>1266072.5</v>
      </c>
      <c r="C4" s="11">
        <f>1387047.75+129846.65-40538.79</f>
        <v>1476355.6099999999</v>
      </c>
      <c r="D4" s="2">
        <f t="shared" ref="D4:D20" si="0">C4-B4</f>
        <v>210283.10999999987</v>
      </c>
      <c r="E4" s="3">
        <f t="shared" ref="E4:E20" si="1">D4/B4</f>
        <v>0.16609089131941485</v>
      </c>
      <c r="F4" s="2"/>
    </row>
    <row r="5" spans="1:6" x14ac:dyDescent="0.35">
      <c r="A5" t="s">
        <v>3</v>
      </c>
      <c r="B5" s="1">
        <f>148488.23-1708.81-2655.07</f>
        <v>144124.35</v>
      </c>
      <c r="C5" s="11">
        <f>157150.11+15752.48-3917.75</f>
        <v>168984.84</v>
      </c>
      <c r="D5" s="2">
        <f t="shared" si="0"/>
        <v>24860.489999999991</v>
      </c>
      <c r="E5" s="3">
        <f t="shared" si="1"/>
        <v>0.17249333648339082</v>
      </c>
      <c r="F5" s="2"/>
    </row>
    <row r="6" spans="1:6" ht="15" thickBot="1" x14ac:dyDescent="0.4">
      <c r="A6" t="s">
        <v>2</v>
      </c>
      <c r="B6" s="1">
        <f>1369586.43-14354.44-23033.98</f>
        <v>1332198.01</v>
      </c>
      <c r="C6" s="12">
        <f>1449479.58+145293.48-34862.29</f>
        <v>1559910.77</v>
      </c>
      <c r="D6" s="2">
        <f t="shared" si="0"/>
        <v>227712.76</v>
      </c>
      <c r="E6" s="3">
        <f t="shared" si="1"/>
        <v>0.17093011571155253</v>
      </c>
      <c r="F6" s="2"/>
    </row>
    <row r="7" spans="1:6" x14ac:dyDescent="0.35">
      <c r="A7" t="s">
        <v>4</v>
      </c>
      <c r="B7" s="1">
        <f>568523.48-43965.51-3767.47</f>
        <v>520790.5</v>
      </c>
      <c r="C7" s="1">
        <f>520376.76-11186+3398.83</f>
        <v>512589.59</v>
      </c>
      <c r="D7" s="2">
        <f t="shared" si="0"/>
        <v>-8200.9099999999744</v>
      </c>
      <c r="E7" s="3">
        <f t="shared" si="1"/>
        <v>-1.5747042236753502E-2</v>
      </c>
    </row>
    <row r="8" spans="1:6" x14ac:dyDescent="0.35">
      <c r="A8" t="s">
        <v>5</v>
      </c>
      <c r="B8" s="1">
        <f>394027.71+14973.98</f>
        <v>409001.69</v>
      </c>
      <c r="C8" s="1">
        <f>406131.53-5773.24+25429.05</f>
        <v>425787.34</v>
      </c>
      <c r="D8" s="2">
        <f t="shared" si="0"/>
        <v>16785.650000000023</v>
      </c>
      <c r="E8" s="3">
        <f t="shared" si="1"/>
        <v>4.1040539465741627E-2</v>
      </c>
    </row>
    <row r="9" spans="1:6" x14ac:dyDescent="0.35">
      <c r="A9" t="s">
        <v>6</v>
      </c>
      <c r="B9" s="1">
        <f>35000-12720.96</f>
        <v>22279.040000000001</v>
      </c>
      <c r="C9" s="1">
        <f>40000-1409.44</f>
        <v>38590.559999999998</v>
      </c>
      <c r="D9" s="2">
        <f t="shared" si="0"/>
        <v>16311.519999999997</v>
      </c>
      <c r="E9" s="3">
        <f t="shared" si="1"/>
        <v>0.73214644796185102</v>
      </c>
    </row>
    <row r="10" spans="1:6" x14ac:dyDescent="0.35">
      <c r="A10" t="s">
        <v>7</v>
      </c>
      <c r="B10" s="1">
        <f>329832+17443.08</f>
        <v>347275.08</v>
      </c>
      <c r="C10" s="1">
        <f>334260-4277.16</f>
        <v>329982.84000000003</v>
      </c>
      <c r="D10" s="2">
        <f t="shared" si="0"/>
        <v>-17292.239999999991</v>
      </c>
      <c r="E10" s="3">
        <f t="shared" si="1"/>
        <v>-4.9794071028649654E-2</v>
      </c>
    </row>
    <row r="11" spans="1:6" x14ac:dyDescent="0.35">
      <c r="A11" t="s">
        <v>11</v>
      </c>
      <c r="B11" s="1">
        <f>198920.52-9645.29</f>
        <v>189275.22999999998</v>
      </c>
      <c r="C11" s="1">
        <f>234803.02+4633.85</f>
        <v>239436.87</v>
      </c>
      <c r="D11" s="2">
        <f t="shared" si="0"/>
        <v>50161.640000000014</v>
      </c>
      <c r="E11" s="3">
        <f t="shared" si="1"/>
        <v>0.26501956964997492</v>
      </c>
    </row>
    <row r="12" spans="1:6" x14ac:dyDescent="0.35">
      <c r="A12" t="s">
        <v>8</v>
      </c>
      <c r="B12" s="1">
        <f>250000-57796.03</f>
        <v>192203.97</v>
      </c>
      <c r="C12" s="1">
        <f>150000-40343.35</f>
        <v>109656.65</v>
      </c>
      <c r="D12" s="2">
        <f t="shared" si="0"/>
        <v>-82547.320000000007</v>
      </c>
      <c r="E12" s="3">
        <f t="shared" si="1"/>
        <v>-0.42947770537726149</v>
      </c>
    </row>
    <row r="13" spans="1:6" x14ac:dyDescent="0.35">
      <c r="A13" t="s">
        <v>9</v>
      </c>
      <c r="B13" s="1">
        <f>1323400.66+38820-4685.95</f>
        <v>1357534.71</v>
      </c>
      <c r="C13" s="1">
        <f>1919588.8+48535.87+73649.52+25577.45</f>
        <v>2067351.6400000001</v>
      </c>
      <c r="D13" s="2">
        <f t="shared" si="0"/>
        <v>709816.93000000017</v>
      </c>
      <c r="E13" s="3">
        <f t="shared" si="1"/>
        <v>0.52287203028495688</v>
      </c>
    </row>
    <row r="14" spans="1:6" x14ac:dyDescent="0.35">
      <c r="A14" t="s">
        <v>10</v>
      </c>
      <c r="B14" s="1">
        <f>1586818.82+972.19</f>
        <v>1587791.01</v>
      </c>
      <c r="C14" s="1">
        <f>1622044.82-962517.75+1007418.75</f>
        <v>1666945.82</v>
      </c>
      <c r="D14" s="2">
        <f t="shared" si="0"/>
        <v>79154.810000000056</v>
      </c>
      <c r="E14" s="3">
        <f t="shared" si="1"/>
        <v>4.9852159069725462E-2</v>
      </c>
    </row>
    <row r="15" spans="1:6" x14ac:dyDescent="0.35">
      <c r="A15" t="s">
        <v>12</v>
      </c>
      <c r="B15" s="1">
        <v>3011717.06</v>
      </c>
      <c r="C15" s="13">
        <v>3206596.1</v>
      </c>
      <c r="D15" s="2">
        <f t="shared" si="0"/>
        <v>194879.04000000004</v>
      </c>
      <c r="E15" s="3">
        <f t="shared" si="1"/>
        <v>6.4706954908971437E-2</v>
      </c>
    </row>
    <row r="16" spans="1:6" x14ac:dyDescent="0.35">
      <c r="A16" t="s">
        <v>16</v>
      </c>
      <c r="B16" s="1">
        <v>74895.22</v>
      </c>
      <c r="C16" s="1">
        <v>0</v>
      </c>
      <c r="D16" s="2">
        <f t="shared" si="0"/>
        <v>-74895.22</v>
      </c>
      <c r="E16" s="3">
        <f t="shared" si="1"/>
        <v>-1</v>
      </c>
    </row>
    <row r="17" spans="1:5" x14ac:dyDescent="0.35">
      <c r="A17" t="s">
        <v>13</v>
      </c>
      <c r="B17" s="1">
        <f>-39310.3-1792.46</f>
        <v>-41102.76</v>
      </c>
      <c r="C17" s="1">
        <f>39077</f>
        <v>39077</v>
      </c>
      <c r="D17" s="2">
        <f t="shared" si="0"/>
        <v>80179.760000000009</v>
      </c>
      <c r="E17" s="3">
        <f t="shared" si="1"/>
        <v>-1.9507147451898608</v>
      </c>
    </row>
    <row r="18" spans="1:5" x14ac:dyDescent="0.35">
      <c r="A18" t="s">
        <v>14</v>
      </c>
      <c r="B18" s="1">
        <v>-30451.71</v>
      </c>
      <c r="C18" s="1">
        <v>-33358.71</v>
      </c>
      <c r="D18" s="2">
        <f t="shared" si="0"/>
        <v>-2907</v>
      </c>
      <c r="E18" s="3">
        <f t="shared" si="1"/>
        <v>9.5462619340588764E-2</v>
      </c>
    </row>
    <row r="19" spans="1:5" x14ac:dyDescent="0.35">
      <c r="A19" t="s">
        <v>15</v>
      </c>
      <c r="B19" s="1">
        <f>-52.12+78896.89+11098.31</f>
        <v>89943.08</v>
      </c>
      <c r="C19" s="1">
        <f>-5967.94+36828.52+22984.74</f>
        <v>53845.32</v>
      </c>
      <c r="D19" s="2">
        <f t="shared" si="0"/>
        <v>-36097.760000000002</v>
      </c>
      <c r="E19" s="3">
        <f t="shared" si="1"/>
        <v>-0.40134004750560021</v>
      </c>
    </row>
    <row r="20" spans="1:5" x14ac:dyDescent="0.35">
      <c r="B20" s="1">
        <f>SUM(B3:B19)</f>
        <v>13722368.68</v>
      </c>
      <c r="C20" s="1">
        <f>SUM(C3:C19)</f>
        <v>15665895.399999999</v>
      </c>
      <c r="D20" s="2">
        <f t="shared" si="0"/>
        <v>1943526.7199999988</v>
      </c>
      <c r="E20" s="3">
        <f t="shared" si="1"/>
        <v>0.14163201451019453</v>
      </c>
    </row>
    <row r="22" spans="1:5" x14ac:dyDescent="0.35">
      <c r="A22" s="7" t="s">
        <v>17</v>
      </c>
    </row>
    <row r="23" spans="1:5" x14ac:dyDescent="0.35">
      <c r="A23" t="s">
        <v>18</v>
      </c>
      <c r="B23" s="1">
        <f>336903.5</f>
        <v>336903.5</v>
      </c>
      <c r="C23" s="1">
        <v>340047.65</v>
      </c>
      <c r="D23" s="2">
        <f t="shared" ref="D23:D28" si="2">C23-B23</f>
        <v>3144.1500000000233</v>
      </c>
      <c r="E23" s="3">
        <f t="shared" ref="E23:E28" si="3">D23/B23</f>
        <v>9.3324943195900994E-3</v>
      </c>
    </row>
    <row r="24" spans="1:5" x14ac:dyDescent="0.35">
      <c r="A24" t="s">
        <v>19</v>
      </c>
      <c r="B24" s="1">
        <f>175258.03</f>
        <v>175258.03</v>
      </c>
      <c r="C24" s="1">
        <f>183863.15-163.7</f>
        <v>183699.44999999998</v>
      </c>
      <c r="D24" s="2">
        <f t="shared" si="2"/>
        <v>8441.4199999999837</v>
      </c>
      <c r="E24" s="3">
        <f t="shared" si="3"/>
        <v>4.8165667501797113E-2</v>
      </c>
    </row>
    <row r="25" spans="1:5" x14ac:dyDescent="0.35">
      <c r="A25" t="s">
        <v>20</v>
      </c>
      <c r="B25" s="1">
        <f>4167.49+702.4</f>
        <v>4869.8899999999994</v>
      </c>
      <c r="C25" s="1">
        <v>3961.31</v>
      </c>
      <c r="D25" s="2">
        <f t="shared" si="2"/>
        <v>-908.57999999999947</v>
      </c>
      <c r="E25" s="3">
        <f t="shared" si="3"/>
        <v>-0.18657094924115319</v>
      </c>
    </row>
    <row r="26" spans="1:5" x14ac:dyDescent="0.35">
      <c r="A26" t="s">
        <v>21</v>
      </c>
      <c r="B26" s="13">
        <f>60000+3376.29</f>
        <v>63376.29</v>
      </c>
      <c r="C26" s="13">
        <f>60000-607.54</f>
        <v>59392.46</v>
      </c>
      <c r="D26" s="14">
        <f t="shared" si="2"/>
        <v>-3983.8300000000017</v>
      </c>
      <c r="E26" s="15">
        <f t="shared" si="3"/>
        <v>-6.285994336367752E-2</v>
      </c>
    </row>
    <row r="27" spans="1:5" x14ac:dyDescent="0.35">
      <c r="A27" t="s">
        <v>22</v>
      </c>
      <c r="B27" s="1">
        <f>4968.03+667.44</f>
        <v>5635.4699999999993</v>
      </c>
      <c r="C27" s="1">
        <f>2353.82+1369.49</f>
        <v>3723.3100000000004</v>
      </c>
      <c r="D27" s="2">
        <f t="shared" si="2"/>
        <v>-1912.1599999999989</v>
      </c>
      <c r="E27" s="3">
        <f t="shared" si="3"/>
        <v>-0.33930799028297537</v>
      </c>
    </row>
    <row r="28" spans="1:5" x14ac:dyDescent="0.35">
      <c r="B28" s="1">
        <f>SUM(B23:B27)</f>
        <v>586043.18000000005</v>
      </c>
      <c r="C28" s="1">
        <f>SUM(C23:C27)</f>
        <v>590824.18000000005</v>
      </c>
      <c r="D28" s="2">
        <f t="shared" si="2"/>
        <v>4781</v>
      </c>
      <c r="E28" s="3">
        <f t="shared" si="3"/>
        <v>8.1581019337175799E-3</v>
      </c>
    </row>
    <row r="31" spans="1:5" x14ac:dyDescent="0.35">
      <c r="A31" s="7" t="s">
        <v>23</v>
      </c>
      <c r="B31" s="1">
        <v>19004666.870000001</v>
      </c>
      <c r="C31" s="1">
        <v>20341203.43</v>
      </c>
      <c r="D31" s="2">
        <f t="shared" ref="D31" si="4">C31-B31</f>
        <v>1336536.5599999987</v>
      </c>
      <c r="E31" s="3">
        <f t="shared" ref="E31" si="5">D31/B31</f>
        <v>7.0326755482875702E-2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F22" sqref="F22"/>
    </sheetView>
  </sheetViews>
  <sheetFormatPr defaultRowHeight="14.5" x14ac:dyDescent="0.35"/>
  <cols>
    <col min="1" max="1" width="23.36328125" bestFit="1" customWidth="1"/>
    <col min="2" max="3" width="13.6328125" style="1" bestFit="1" customWidth="1"/>
    <col min="4" max="5" width="13.6328125" style="1" customWidth="1"/>
    <col min="6" max="6" width="12.54296875" bestFit="1" customWidth="1"/>
    <col min="7" max="7" width="11" customWidth="1"/>
  </cols>
  <sheetData>
    <row r="1" spans="1:8" x14ac:dyDescent="0.35">
      <c r="B1" s="8"/>
      <c r="C1" s="8" t="s">
        <v>27</v>
      </c>
      <c r="D1" s="8" t="s">
        <v>31</v>
      </c>
      <c r="E1" s="8"/>
    </row>
    <row r="2" spans="1:8" x14ac:dyDescent="0.35">
      <c r="A2" s="7" t="s">
        <v>24</v>
      </c>
      <c r="B2" s="8" t="s">
        <v>25</v>
      </c>
      <c r="C2" s="8" t="s">
        <v>26</v>
      </c>
      <c r="D2" s="8" t="s">
        <v>26</v>
      </c>
      <c r="E2" s="8" t="s">
        <v>32</v>
      </c>
      <c r="F2" s="9" t="s">
        <v>33</v>
      </c>
      <c r="G2" s="9" t="s">
        <v>29</v>
      </c>
    </row>
    <row r="3" spans="1:8" x14ac:dyDescent="0.35">
      <c r="A3" t="s">
        <v>0</v>
      </c>
      <c r="B3" s="1">
        <f>3340000.59-35006.07-56172.82</f>
        <v>3248821.7</v>
      </c>
      <c r="C3" s="1">
        <f>3870636.33+354326.16-85018.45</f>
        <v>4139944.04</v>
      </c>
      <c r="D3" s="1">
        <f>3534835.45+354326.16-85018.45</f>
        <v>3804143.16</v>
      </c>
      <c r="E3" s="1">
        <f>D3-C3</f>
        <v>-335800.87999999989</v>
      </c>
      <c r="F3" s="2">
        <f>D3-B3</f>
        <v>555321.46</v>
      </c>
      <c r="G3" s="3">
        <f>F3/B3</f>
        <v>0.17093011290831994</v>
      </c>
      <c r="H3" s="2"/>
    </row>
    <row r="4" spans="1:8" x14ac:dyDescent="0.35">
      <c r="A4" t="s">
        <v>1</v>
      </c>
      <c r="B4" s="1">
        <f>1319457.78-23353.23-30032.05</f>
        <v>1266072.5</v>
      </c>
      <c r="C4" s="1">
        <f>1518813.95+129846.65-40538.79</f>
        <v>1608121.8099999998</v>
      </c>
      <c r="D4" s="1">
        <f>1387047.75+129846.65-40538.79</f>
        <v>1476355.6099999999</v>
      </c>
      <c r="E4" s="1">
        <f t="shared" ref="E4:E20" si="0">D4-C4</f>
        <v>-131766.19999999995</v>
      </c>
      <c r="F4" s="2">
        <f t="shared" ref="F4:F20" si="1">D4-B4</f>
        <v>210283.10999999987</v>
      </c>
      <c r="G4" s="3">
        <f t="shared" ref="G4:G20" si="2">F4/B4</f>
        <v>0.16609089131941485</v>
      </c>
      <c r="H4" s="2"/>
    </row>
    <row r="5" spans="1:8" x14ac:dyDescent="0.35">
      <c r="A5" t="s">
        <v>3</v>
      </c>
      <c r="B5" s="1">
        <f>148488.23-1708.81-2655.07</f>
        <v>144124.35</v>
      </c>
      <c r="C5" s="1">
        <f>172079+15752.48-3917.75</f>
        <v>183913.73</v>
      </c>
      <c r="D5" s="1">
        <f>157150.11+15752.48-3917.75</f>
        <v>168984.84</v>
      </c>
      <c r="E5" s="1">
        <f t="shared" si="0"/>
        <v>-14928.890000000014</v>
      </c>
      <c r="F5" s="2">
        <f t="shared" si="1"/>
        <v>24860.489999999991</v>
      </c>
      <c r="G5" s="3">
        <f t="shared" si="2"/>
        <v>0.17249333648339082</v>
      </c>
      <c r="H5" s="2"/>
    </row>
    <row r="6" spans="1:8" x14ac:dyDescent="0.35">
      <c r="A6" t="s">
        <v>2</v>
      </c>
      <c r="B6" s="1">
        <f>1369586.43-14354.44-23033.98</f>
        <v>1332198.01</v>
      </c>
      <c r="C6" s="1">
        <f>1587176.67+145293.48-34862.29</f>
        <v>1697607.8599999999</v>
      </c>
      <c r="D6" s="1">
        <f>1449479.58+145293.48-34862.29</f>
        <v>1559910.77</v>
      </c>
      <c r="E6" s="1">
        <f t="shared" si="0"/>
        <v>-137697.08999999985</v>
      </c>
      <c r="F6" s="2">
        <f t="shared" si="1"/>
        <v>227712.76</v>
      </c>
      <c r="G6" s="3">
        <f t="shared" si="2"/>
        <v>0.17093011571155253</v>
      </c>
      <c r="H6" s="2"/>
    </row>
    <row r="7" spans="1:8" x14ac:dyDescent="0.35">
      <c r="A7" t="s">
        <v>4</v>
      </c>
      <c r="B7" s="1">
        <f>568523.48-43965.51-3767.47</f>
        <v>520790.5</v>
      </c>
      <c r="C7" s="1">
        <f>520376.76-11186+3398.83</f>
        <v>512589.59</v>
      </c>
      <c r="D7" s="1">
        <f>520376.76-11186+3398.83</f>
        <v>512589.59</v>
      </c>
      <c r="E7" s="1">
        <f t="shared" si="0"/>
        <v>0</v>
      </c>
      <c r="F7" s="2">
        <f t="shared" si="1"/>
        <v>-8200.9099999999744</v>
      </c>
      <c r="G7" s="3">
        <f t="shared" si="2"/>
        <v>-1.5747042236753502E-2</v>
      </c>
    </row>
    <row r="8" spans="1:8" x14ac:dyDescent="0.35">
      <c r="A8" t="s">
        <v>5</v>
      </c>
      <c r="B8" s="1">
        <f>394027.71+14973.98</f>
        <v>409001.69</v>
      </c>
      <c r="C8" s="1">
        <f>406131.53-5773.24+25429.05</f>
        <v>425787.34</v>
      </c>
      <c r="D8" s="1">
        <f>406131.53-5773.24+25429.05</f>
        <v>425787.34</v>
      </c>
      <c r="E8" s="1">
        <f t="shared" si="0"/>
        <v>0</v>
      </c>
      <c r="F8" s="2">
        <f t="shared" si="1"/>
        <v>16785.650000000023</v>
      </c>
      <c r="G8" s="3">
        <f t="shared" si="2"/>
        <v>4.1040539465741627E-2</v>
      </c>
    </row>
    <row r="9" spans="1:8" x14ac:dyDescent="0.35">
      <c r="A9" t="s">
        <v>6</v>
      </c>
      <c r="B9" s="1">
        <f>35000-12720.96</f>
        <v>22279.040000000001</v>
      </c>
      <c r="C9" s="1">
        <f>40000-1409.44</f>
        <v>38590.559999999998</v>
      </c>
      <c r="D9" s="1">
        <f>40000-1409.44</f>
        <v>38590.559999999998</v>
      </c>
      <c r="E9" s="1">
        <f t="shared" si="0"/>
        <v>0</v>
      </c>
      <c r="F9" s="2">
        <f t="shared" si="1"/>
        <v>16311.519999999997</v>
      </c>
      <c r="G9" s="3">
        <f t="shared" si="2"/>
        <v>0.73214644796185102</v>
      </c>
    </row>
    <row r="10" spans="1:8" x14ac:dyDescent="0.35">
      <c r="A10" t="s">
        <v>7</v>
      </c>
      <c r="B10" s="1">
        <f>329832+17443.08</f>
        <v>347275.08</v>
      </c>
      <c r="C10" s="1">
        <f>334260-4277.16</f>
        <v>329982.84000000003</v>
      </c>
      <c r="D10" s="1">
        <f>334260-4277.16</f>
        <v>329982.84000000003</v>
      </c>
      <c r="E10" s="1">
        <f t="shared" si="0"/>
        <v>0</v>
      </c>
      <c r="F10" s="2">
        <f t="shared" si="1"/>
        <v>-17292.239999999991</v>
      </c>
      <c r="G10" s="3">
        <f t="shared" si="2"/>
        <v>-4.9794071028649654E-2</v>
      </c>
    </row>
    <row r="11" spans="1:8" x14ac:dyDescent="0.35">
      <c r="A11" t="s">
        <v>11</v>
      </c>
      <c r="B11" s="1">
        <f>198920.52-9645.29</f>
        <v>189275.22999999998</v>
      </c>
      <c r="C11" s="1">
        <f>234803.02+4633.85</f>
        <v>239436.87</v>
      </c>
      <c r="D11" s="1">
        <f>234803.02+4633.85</f>
        <v>239436.87</v>
      </c>
      <c r="E11" s="1">
        <f t="shared" si="0"/>
        <v>0</v>
      </c>
      <c r="F11" s="2">
        <f t="shared" si="1"/>
        <v>50161.640000000014</v>
      </c>
      <c r="G11" s="3">
        <f t="shared" si="2"/>
        <v>0.26501956964997492</v>
      </c>
    </row>
    <row r="12" spans="1:8" x14ac:dyDescent="0.35">
      <c r="A12" t="s">
        <v>8</v>
      </c>
      <c r="B12" s="1">
        <f>250000-57796.03</f>
        <v>192203.97</v>
      </c>
      <c r="C12" s="1">
        <f>150000-40343.35</f>
        <v>109656.65</v>
      </c>
      <c r="D12" s="1">
        <f>150000-40343.35</f>
        <v>109656.65</v>
      </c>
      <c r="E12" s="1">
        <f t="shared" si="0"/>
        <v>0</v>
      </c>
      <c r="F12" s="2">
        <f t="shared" si="1"/>
        <v>-82547.320000000007</v>
      </c>
      <c r="G12" s="3">
        <f t="shared" si="2"/>
        <v>-0.42947770537726149</v>
      </c>
    </row>
    <row r="13" spans="1:8" x14ac:dyDescent="0.35">
      <c r="A13" t="s">
        <v>9</v>
      </c>
      <c r="B13" s="1">
        <f>1323400.66+38820-4685.95</f>
        <v>1357534.71</v>
      </c>
      <c r="C13" s="1">
        <f>1919588.8+48535.87+73649.52-38820+25577.45</f>
        <v>2028531.6400000001</v>
      </c>
      <c r="D13" s="1">
        <f>1919588.8+48535.87+47136.22+25577.45</f>
        <v>2040838.34</v>
      </c>
      <c r="E13" s="1">
        <f t="shared" si="0"/>
        <v>12306.699999999953</v>
      </c>
      <c r="F13" s="2">
        <f t="shared" si="1"/>
        <v>683303.63000000012</v>
      </c>
      <c r="G13" s="3">
        <f t="shared" si="2"/>
        <v>0.5033415536019703</v>
      </c>
    </row>
    <row r="14" spans="1:8" x14ac:dyDescent="0.35">
      <c r="A14" t="s">
        <v>10</v>
      </c>
      <c r="B14" s="1">
        <f>1586818.82+972.19</f>
        <v>1587791.01</v>
      </c>
      <c r="C14" s="1">
        <f>1622044.82-962517.75</f>
        <v>659527.07000000007</v>
      </c>
      <c r="D14" s="1">
        <f>1622044.82-962517.75+1007418.75</f>
        <v>1666945.82</v>
      </c>
      <c r="E14" s="1">
        <f t="shared" si="0"/>
        <v>1007418.75</v>
      </c>
      <c r="F14" s="2">
        <f t="shared" si="1"/>
        <v>79154.810000000056</v>
      </c>
      <c r="G14" s="3">
        <f t="shared" si="2"/>
        <v>4.9852159069725462E-2</v>
      </c>
    </row>
    <row r="15" spans="1:8" x14ac:dyDescent="0.35">
      <c r="A15" t="s">
        <v>12</v>
      </c>
      <c r="B15" s="1">
        <v>3011717.06</v>
      </c>
      <c r="C15" s="1">
        <v>3206596.1</v>
      </c>
      <c r="D15" s="1">
        <v>3206596.1</v>
      </c>
      <c r="E15" s="1">
        <f t="shared" si="0"/>
        <v>0</v>
      </c>
      <c r="F15" s="2">
        <f t="shared" si="1"/>
        <v>194879.04000000004</v>
      </c>
      <c r="G15" s="3">
        <f t="shared" si="2"/>
        <v>6.4706954908971437E-2</v>
      </c>
    </row>
    <row r="16" spans="1:8" x14ac:dyDescent="0.35">
      <c r="A16" t="s">
        <v>16</v>
      </c>
      <c r="B16" s="1">
        <v>74895.22</v>
      </c>
      <c r="C16" s="1">
        <v>0</v>
      </c>
      <c r="E16" s="1">
        <f t="shared" si="0"/>
        <v>0</v>
      </c>
      <c r="F16" s="2">
        <f t="shared" si="1"/>
        <v>-74895.22</v>
      </c>
      <c r="G16" s="3">
        <f t="shared" si="2"/>
        <v>-1</v>
      </c>
    </row>
    <row r="17" spans="1:7" x14ac:dyDescent="0.35">
      <c r="A17" t="s">
        <v>13</v>
      </c>
      <c r="B17" s="1">
        <f>-39310.3-1792.46</f>
        <v>-41102.76</v>
      </c>
      <c r="C17" s="1">
        <f>39077</f>
        <v>39077</v>
      </c>
      <c r="D17" s="1">
        <v>39077</v>
      </c>
      <c r="E17" s="1">
        <f t="shared" si="0"/>
        <v>0</v>
      </c>
      <c r="F17" s="2">
        <f t="shared" si="1"/>
        <v>80179.760000000009</v>
      </c>
      <c r="G17" s="3">
        <f t="shared" si="2"/>
        <v>-1.9507147451898608</v>
      </c>
    </row>
    <row r="18" spans="1:7" x14ac:dyDescent="0.35">
      <c r="A18" t="s">
        <v>14</v>
      </c>
      <c r="B18" s="1">
        <v>-30451.71</v>
      </c>
      <c r="C18" s="1">
        <v>-33358.71</v>
      </c>
      <c r="D18" s="1">
        <v>-33358.71</v>
      </c>
      <c r="E18" s="1">
        <f t="shared" si="0"/>
        <v>0</v>
      </c>
      <c r="F18" s="2">
        <f t="shared" si="1"/>
        <v>-2907</v>
      </c>
      <c r="G18" s="3">
        <f t="shared" si="2"/>
        <v>9.5462619340588764E-2</v>
      </c>
    </row>
    <row r="19" spans="1:7" x14ac:dyDescent="0.35">
      <c r="A19" t="s">
        <v>15</v>
      </c>
      <c r="B19" s="1">
        <f>-52.12+78896.89+11098.31</f>
        <v>89943.08</v>
      </c>
      <c r="C19" s="1">
        <f>-5967.94+36828.52+22984.74</f>
        <v>53845.32</v>
      </c>
      <c r="D19" s="1">
        <f>-6150.12+36828.52+22984.74</f>
        <v>53663.14</v>
      </c>
      <c r="E19" s="1">
        <f t="shared" si="0"/>
        <v>-182.18000000000029</v>
      </c>
      <c r="F19" s="2">
        <f t="shared" si="1"/>
        <v>-36279.94</v>
      </c>
      <c r="G19" s="3">
        <f t="shared" si="2"/>
        <v>-0.40336555074609409</v>
      </c>
    </row>
    <row r="20" spans="1:7" x14ac:dyDescent="0.35">
      <c r="B20" s="1">
        <f>SUM(B3:B19)</f>
        <v>13722368.68</v>
      </c>
      <c r="C20" s="1">
        <f>SUM(C3:C19)</f>
        <v>15239849.709999999</v>
      </c>
      <c r="D20" s="1">
        <f>SUM(D3:D19)</f>
        <v>15639199.919999998</v>
      </c>
      <c r="E20" s="1">
        <f t="shared" si="0"/>
        <v>399350.20999999903</v>
      </c>
      <c r="F20" s="2">
        <f t="shared" si="1"/>
        <v>1916831.2399999984</v>
      </c>
      <c r="G20" s="3">
        <f t="shared" si="2"/>
        <v>0.13968661567836541</v>
      </c>
    </row>
    <row r="22" spans="1:7" x14ac:dyDescent="0.35">
      <c r="A22" s="7" t="s">
        <v>17</v>
      </c>
    </row>
    <row r="23" spans="1:7" x14ac:dyDescent="0.35">
      <c r="A23" t="s">
        <v>18</v>
      </c>
      <c r="B23" s="1">
        <f>336903.5</f>
        <v>336903.5</v>
      </c>
      <c r="C23" s="1">
        <v>340047.65</v>
      </c>
      <c r="D23" s="1">
        <v>340047.65</v>
      </c>
      <c r="E23" s="1">
        <f t="shared" ref="E23:E28" si="3">D23-C23</f>
        <v>0</v>
      </c>
      <c r="F23" s="2">
        <f t="shared" ref="F23:F28" si="4">D23-B23</f>
        <v>3144.1500000000233</v>
      </c>
      <c r="G23" s="3">
        <f t="shared" ref="G23:G28" si="5">F23/B23</f>
        <v>9.3324943195900994E-3</v>
      </c>
    </row>
    <row r="24" spans="1:7" x14ac:dyDescent="0.35">
      <c r="A24" t="s">
        <v>19</v>
      </c>
      <c r="B24" s="1">
        <f>175258.03</f>
        <v>175258.03</v>
      </c>
      <c r="C24" s="1">
        <f>183863.15-163.7</f>
        <v>183699.44999999998</v>
      </c>
      <c r="D24" s="1">
        <f>183863.15-163.7</f>
        <v>183699.44999999998</v>
      </c>
      <c r="E24" s="1">
        <f t="shared" si="3"/>
        <v>0</v>
      </c>
      <c r="F24" s="2">
        <f t="shared" si="4"/>
        <v>8441.4199999999837</v>
      </c>
      <c r="G24" s="3">
        <f t="shared" si="5"/>
        <v>4.8165667501797113E-2</v>
      </c>
    </row>
    <row r="25" spans="1:7" x14ac:dyDescent="0.35">
      <c r="A25" t="s">
        <v>20</v>
      </c>
      <c r="B25" s="1">
        <f>4167.49+702.4</f>
        <v>4869.8899999999994</v>
      </c>
      <c r="C25" s="1">
        <v>3961.31</v>
      </c>
      <c r="D25" s="1">
        <v>3961.31</v>
      </c>
      <c r="E25" s="1">
        <f t="shared" si="3"/>
        <v>0</v>
      </c>
      <c r="F25" s="2">
        <f t="shared" si="4"/>
        <v>-908.57999999999947</v>
      </c>
      <c r="G25" s="3">
        <f t="shared" si="5"/>
        <v>-0.18657094924115319</v>
      </c>
    </row>
    <row r="26" spans="1:7" x14ac:dyDescent="0.35">
      <c r="A26" t="s">
        <v>21</v>
      </c>
      <c r="B26" s="13">
        <f>60000+3376.29</f>
        <v>63376.29</v>
      </c>
      <c r="C26" s="13">
        <f>-607.54</f>
        <v>-607.54</v>
      </c>
      <c r="D26" s="13">
        <f>60000-607.54</f>
        <v>59392.46</v>
      </c>
      <c r="E26" s="13">
        <f t="shared" si="3"/>
        <v>60000</v>
      </c>
      <c r="F26" s="14">
        <f t="shared" si="4"/>
        <v>-3983.8300000000017</v>
      </c>
      <c r="G26" s="15">
        <f t="shared" si="5"/>
        <v>-6.285994336367752E-2</v>
      </c>
    </row>
    <row r="27" spans="1:7" x14ac:dyDescent="0.35">
      <c r="A27" t="s">
        <v>22</v>
      </c>
      <c r="B27" s="1">
        <f>4968.03+667.44</f>
        <v>5635.4699999999993</v>
      </c>
      <c r="C27" s="1">
        <f>2353.82+1369.49</f>
        <v>3723.3100000000004</v>
      </c>
      <c r="D27" s="1">
        <f>2353.82+1369.49</f>
        <v>3723.3100000000004</v>
      </c>
      <c r="E27" s="1">
        <f t="shared" si="3"/>
        <v>0</v>
      </c>
      <c r="F27" s="2">
        <f t="shared" si="4"/>
        <v>-1912.1599999999989</v>
      </c>
      <c r="G27" s="3">
        <f t="shared" si="5"/>
        <v>-0.33930799028297537</v>
      </c>
    </row>
    <row r="28" spans="1:7" x14ac:dyDescent="0.35">
      <c r="B28" s="1">
        <f>SUM(B23:B27)</f>
        <v>586043.18000000005</v>
      </c>
      <c r="C28" s="1">
        <f>SUM(C23:C27)</f>
        <v>530824.18000000005</v>
      </c>
      <c r="D28" s="1">
        <f>SUM(D23:D27)</f>
        <v>590824.18000000005</v>
      </c>
      <c r="E28" s="1">
        <f t="shared" si="3"/>
        <v>60000</v>
      </c>
      <c r="F28" s="2">
        <f t="shared" si="4"/>
        <v>4781</v>
      </c>
      <c r="G28" s="3">
        <f t="shared" si="5"/>
        <v>8.1581019337175799E-3</v>
      </c>
    </row>
    <row r="31" spans="1:7" x14ac:dyDescent="0.35">
      <c r="A31" s="7" t="s">
        <v>23</v>
      </c>
      <c r="B31" s="1">
        <v>19004666.870000001</v>
      </c>
      <c r="C31" s="1">
        <v>21227802.609999999</v>
      </c>
      <c r="D31" s="1">
        <v>20341203.43</v>
      </c>
      <c r="E31" s="1">
        <f t="shared" ref="E31" si="6">D31-C31</f>
        <v>-886599.1799999997</v>
      </c>
      <c r="F31" s="2">
        <f t="shared" ref="F31" si="7">D31-B31</f>
        <v>1336536.5599999987</v>
      </c>
      <c r="G31" s="3">
        <f t="shared" ref="G31" si="8">F31/B31</f>
        <v>7.0326755482875702E-2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09.21.2017</vt:lpstr>
      <vt:lpstr>09.27.2017</vt:lpstr>
      <vt:lpstr>10.02.2017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Johnson,Suzanne</dc:creator>
  <cp:lastModifiedBy>Johnson,Suzanne</cp:lastModifiedBy>
  <dcterms:created xsi:type="dcterms:W3CDTF">2017-09-22T02:30:03Z</dcterms:created>
  <dcterms:modified xsi:type="dcterms:W3CDTF">2017-11-01T20:19:37Z</dcterms:modified>
</cp:coreProperties>
</file>